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912" windowWidth="9600" windowHeight="5760" activeTab="2"/>
  </bookViews>
  <sheets>
    <sheet name="Z-TL-Z" sheetId="1" r:id="rId1"/>
    <sheet name="X-LC" sheetId="2" r:id="rId2"/>
    <sheet name="Zs-Zp" sheetId="3" r:id="rId3"/>
    <sheet name="TL-Zo" sheetId="4" r:id="rId4"/>
  </sheets>
  <definedNames/>
  <calcPr fullCalcOnLoad="1"/>
</workbook>
</file>

<file path=xl/comments2.xml><?xml version="1.0" encoding="utf-8"?>
<comments xmlns="http://schemas.openxmlformats.org/spreadsheetml/2006/main">
  <authors>
    <author>Yuri</author>
  </authors>
  <commentList>
    <comment ref="B2" authorId="0">
      <text>
        <r>
          <rPr>
            <b/>
            <sz val="7"/>
            <rFont val="Tahoma"/>
            <family val="0"/>
          </rPr>
          <t>Yuri:</t>
        </r>
        <r>
          <rPr>
            <sz val="7"/>
            <rFont val="Tahoma"/>
            <family val="0"/>
          </rPr>
          <t xml:space="preserve">
Beerware program!
Pse don’t forget it!
</t>
        </r>
      </text>
    </comment>
  </commentList>
</comments>
</file>

<file path=xl/sharedStrings.xml><?xml version="1.0" encoding="utf-8"?>
<sst xmlns="http://schemas.openxmlformats.org/spreadsheetml/2006/main" count="112" uniqueCount="80">
  <si>
    <t>Diameter of wires (same units as distance)</t>
  </si>
  <si>
    <t>Inside diameter of outer conductor</t>
  </si>
  <si>
    <t>Center-to-center distance between wires</t>
  </si>
  <si>
    <t>Space between two wires</t>
  </si>
  <si>
    <t>A</t>
  </si>
  <si>
    <t>B</t>
  </si>
  <si>
    <t>C</t>
  </si>
  <si>
    <t>D</t>
  </si>
  <si>
    <t>Rin</t>
  </si>
  <si>
    <t>Xin</t>
  </si>
  <si>
    <t>Lngth rad.</t>
  </si>
  <si>
    <t>Ohm</t>
  </si>
  <si>
    <t>MHz</t>
  </si>
  <si>
    <t>m</t>
  </si>
  <si>
    <t>Frequency</t>
  </si>
  <si>
    <t>Lambda</t>
  </si>
  <si>
    <t>Lambda inside of the line</t>
  </si>
  <si>
    <t>Lambda in air</t>
  </si>
  <si>
    <t>degrees</t>
  </si>
  <si>
    <t>ratio</t>
  </si>
  <si>
    <t>Reflection coefficient (rho)</t>
  </si>
  <si>
    <t>SWR</t>
  </si>
  <si>
    <t>radian</t>
  </si>
  <si>
    <t xml:space="preserve">Phase angle at input end </t>
  </si>
  <si>
    <t>pF</t>
  </si>
  <si>
    <t>mH</t>
  </si>
  <si>
    <t>H</t>
  </si>
  <si>
    <t>kHz</t>
  </si>
  <si>
    <t>Phase angle at load between Ra and Xa</t>
  </si>
  <si>
    <t>Velocity factor of the line</t>
  </si>
  <si>
    <t>Line electrical length (parts of wavelength)</t>
  </si>
  <si>
    <t>Line physical length, m</t>
  </si>
  <si>
    <t xml:space="preserve">Magnitude of impedance Zin at the line input end </t>
  </si>
  <si>
    <t>Space between conductors</t>
  </si>
  <si>
    <r>
      <t xml:space="preserve">Characteristic impedance of an </t>
    </r>
    <r>
      <rPr>
        <b/>
        <sz val="8"/>
        <color indexed="60"/>
        <rFont val="Arial"/>
        <family val="2"/>
      </rPr>
      <t>air-insulated parallel line</t>
    </r>
  </si>
  <si>
    <r>
      <t xml:space="preserve">Characteristic impedance of an </t>
    </r>
    <r>
      <rPr>
        <b/>
        <sz val="8"/>
        <color indexed="60"/>
        <rFont val="Arial"/>
        <family val="2"/>
      </rPr>
      <t>air-insulated coaxial line</t>
    </r>
  </si>
  <si>
    <t>Diameter of inner conductor (same units as outer cond.)</t>
  </si>
  <si>
    <t>Magnitude of the load impedance Za</t>
  </si>
  <si>
    <r>
      <t xml:space="preserve"> </t>
    </r>
    <r>
      <rPr>
        <sz val="12"/>
        <color indexed="60"/>
        <rFont val="Arial"/>
        <family val="2"/>
      </rPr>
      <t>IMPEDANCE AT THE INPUT END OF THE LOADED TRANSMISSION LINE</t>
    </r>
  </si>
  <si>
    <t>Z - TL - Z   YL2DX   CALCULATOR</t>
  </si>
  <si>
    <r>
      <t>Line characteristic impedance Z</t>
    </r>
    <r>
      <rPr>
        <sz val="8"/>
        <rFont val="Arial"/>
        <family val="2"/>
      </rPr>
      <t>o</t>
    </r>
  </si>
  <si>
    <r>
      <t>Load resistance R</t>
    </r>
    <r>
      <rPr>
        <sz val="8"/>
        <color indexed="12"/>
        <rFont val="Arial"/>
        <family val="2"/>
      </rPr>
      <t>a</t>
    </r>
  </si>
  <si>
    <r>
      <t>Load reactance X</t>
    </r>
    <r>
      <rPr>
        <sz val="8"/>
        <color indexed="48"/>
        <rFont val="Arial"/>
        <family val="2"/>
      </rPr>
      <t>a</t>
    </r>
  </si>
  <si>
    <r>
      <t xml:space="preserve">Resistance at input end of the line R </t>
    </r>
    <r>
      <rPr>
        <sz val="8"/>
        <color indexed="60"/>
        <rFont val="Arial"/>
        <family val="2"/>
      </rPr>
      <t>in</t>
    </r>
  </si>
  <si>
    <r>
      <t xml:space="preserve">Reactance  at input end of the line X </t>
    </r>
    <r>
      <rPr>
        <sz val="8"/>
        <color indexed="60"/>
        <rFont val="Arial"/>
        <family val="2"/>
      </rPr>
      <t>in</t>
    </r>
  </si>
  <si>
    <t>YL2DX  REACTANCE  CALCULATOR</t>
  </si>
  <si>
    <t xml:space="preserve">           Frequency:</t>
  </si>
  <si>
    <t>uH</t>
  </si>
  <si>
    <t>uF</t>
  </si>
  <si>
    <t>mH =</t>
  </si>
  <si>
    <t>Ohm =</t>
  </si>
  <si>
    <t>uF  =</t>
  </si>
  <si>
    <t>H   =</t>
  </si>
  <si>
    <t>pF  =</t>
  </si>
  <si>
    <t>uH  =</t>
  </si>
  <si>
    <r>
      <t xml:space="preserve">X </t>
    </r>
    <r>
      <rPr>
        <sz val="8"/>
        <rFont val="Arial"/>
        <family val="2"/>
      </rPr>
      <t xml:space="preserve">c </t>
    </r>
    <r>
      <rPr>
        <sz val="10"/>
        <rFont val="Arial"/>
        <family val="2"/>
      </rPr>
      <t>=</t>
    </r>
  </si>
  <si>
    <r>
      <t>X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</si>
  <si>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X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c </t>
    </r>
    <r>
      <rPr>
        <sz val="10"/>
        <rFont val="Arial"/>
        <family val="2"/>
      </rPr>
      <t>=</t>
    </r>
  </si>
  <si>
    <r>
      <t xml:space="preserve">C </t>
    </r>
    <r>
      <rPr>
        <sz val="10"/>
        <rFont val="Arial"/>
        <family val="2"/>
      </rPr>
      <t>=</t>
    </r>
  </si>
  <si>
    <r>
      <t>L</t>
    </r>
    <r>
      <rPr>
        <sz val="10"/>
        <rFont val="Arial"/>
        <family val="2"/>
      </rPr>
      <t xml:space="preserve"> =</t>
    </r>
  </si>
  <si>
    <r>
      <t>C</t>
    </r>
    <r>
      <rPr>
        <sz val="10"/>
        <rFont val="Arial"/>
        <family val="2"/>
      </rPr>
      <t xml:space="preserve"> =</t>
    </r>
  </si>
  <si>
    <r>
      <t xml:space="preserve">L </t>
    </r>
    <r>
      <rPr>
        <sz val="10"/>
        <rFont val="Arial"/>
        <family val="2"/>
      </rPr>
      <t>=</t>
    </r>
  </si>
  <si>
    <r>
      <t xml:space="preserve">X </t>
    </r>
    <r>
      <rPr>
        <sz val="8"/>
        <rFont val="Arial"/>
        <family val="2"/>
      </rPr>
      <t xml:space="preserve">L </t>
    </r>
    <r>
      <rPr>
        <sz val="10"/>
        <rFont val="Arial"/>
        <family val="2"/>
      </rPr>
      <t>=</t>
    </r>
  </si>
  <si>
    <t>TRANSMISSION LINE CHARACTERISTIC IMPEDANCE</t>
  </si>
  <si>
    <t>W-TL   YL2DX  CALCULATOR</t>
  </si>
  <si>
    <r>
      <t>R</t>
    </r>
    <r>
      <rPr>
        <sz val="9"/>
        <rFont val="Arial"/>
        <family val="2"/>
      </rPr>
      <t>s</t>
    </r>
    <r>
      <rPr>
        <sz val="10"/>
        <rFont val="Arial"/>
        <family val="0"/>
      </rPr>
      <t xml:space="preserve"> =</t>
    </r>
  </si>
  <si>
    <r>
      <t>R</t>
    </r>
    <r>
      <rPr>
        <sz val="9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</si>
  <si>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X</t>
    </r>
    <r>
      <rPr>
        <sz val="9"/>
        <rFont val="Arial"/>
        <family val="2"/>
      </rPr>
      <t>s</t>
    </r>
    <r>
      <rPr>
        <sz val="10"/>
        <rFont val="Arial"/>
        <family val="0"/>
      </rPr>
      <t xml:space="preserve"> =</t>
    </r>
  </si>
  <si>
    <r>
      <t>X</t>
    </r>
    <r>
      <rPr>
        <sz val="9"/>
        <rFont val="Arial"/>
        <family val="2"/>
      </rPr>
      <t>p</t>
    </r>
    <r>
      <rPr>
        <sz val="10"/>
        <rFont val="Arial"/>
        <family val="0"/>
      </rPr>
      <t xml:space="preserve"> =</t>
    </r>
  </si>
  <si>
    <t xml:space="preserve">Z  = </t>
  </si>
  <si>
    <t>Z  =</t>
  </si>
  <si>
    <t>Phase angle =</t>
  </si>
  <si>
    <t xml:space="preserve">  degrees</t>
  </si>
  <si>
    <t xml:space="preserve">Power factor = </t>
  </si>
  <si>
    <r>
      <t>SERIES</t>
    </r>
    <r>
      <rPr>
        <b/>
        <sz val="10"/>
        <rFont val="Arial"/>
        <family val="2"/>
      </rPr>
      <t xml:space="preserve">  INTO  </t>
    </r>
    <r>
      <rPr>
        <b/>
        <sz val="10"/>
        <color indexed="18"/>
        <rFont val="Arial"/>
        <family val="2"/>
      </rPr>
      <t>PARALLEL</t>
    </r>
  </si>
  <si>
    <r>
      <t>PARALLEL</t>
    </r>
    <r>
      <rPr>
        <b/>
        <sz val="10"/>
        <rFont val="Arial"/>
        <family val="2"/>
      </rPr>
      <t xml:space="preserve"> INTO </t>
    </r>
    <r>
      <rPr>
        <b/>
        <sz val="10"/>
        <color indexed="60"/>
        <rFont val="Arial"/>
        <family val="2"/>
      </rPr>
      <t>SERIES</t>
    </r>
  </si>
  <si>
    <r>
      <t>YL2DX  Z</t>
    </r>
    <r>
      <rPr>
        <sz val="9"/>
        <color indexed="60"/>
        <rFont val="Arial"/>
        <family val="2"/>
      </rPr>
      <t xml:space="preserve">s </t>
    </r>
    <r>
      <rPr>
        <sz val="12"/>
        <color indexed="60"/>
        <rFont val="Arial"/>
        <family val="2"/>
      </rPr>
      <t>/ Z</t>
    </r>
    <r>
      <rPr>
        <sz val="9"/>
        <color indexed="60"/>
        <rFont val="Arial"/>
        <family val="2"/>
      </rPr>
      <t>p</t>
    </r>
    <r>
      <rPr>
        <sz val="12"/>
        <color indexed="60"/>
        <rFont val="Arial"/>
        <family val="2"/>
      </rPr>
      <t xml:space="preserve"> CIRCUITS  CONVERTER</t>
    </r>
  </si>
  <si>
    <t>Phase shift in the line (degrees)</t>
  </si>
  <si>
    <t>Phase shift</t>
  </si>
  <si>
    <t>Phase shift (-180-0-180 degr)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</si>
</sst>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_ ;[Red]\-0\ "/>
  </numFmts>
  <fonts count="40">
    <font>
      <sz val="10"/>
      <name val="Arial"/>
      <family val="0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b/>
      <sz val="11"/>
      <color indexed="53"/>
      <name val="Arial"/>
      <family val="2"/>
    </font>
    <font>
      <sz val="10"/>
      <color indexed="16"/>
      <name val="Arial"/>
      <family val="2"/>
    </font>
    <font>
      <b/>
      <sz val="12"/>
      <color indexed="60"/>
      <name val="Arial"/>
      <family val="2"/>
    </font>
    <font>
      <sz val="11"/>
      <color indexed="6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color indexed="53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indexed="53"/>
      <name val="Arial"/>
      <family val="2"/>
    </font>
    <font>
      <sz val="10"/>
      <color indexed="18"/>
      <name val="Arial"/>
      <family val="2"/>
    </font>
    <font>
      <sz val="9"/>
      <color indexed="60"/>
      <name val="Arial"/>
      <family val="2"/>
    </font>
    <font>
      <sz val="12"/>
      <color indexed="60"/>
      <name val="Arial"/>
      <family val="2"/>
    </font>
    <font>
      <b/>
      <sz val="12"/>
      <name val="Courier"/>
      <family val="3"/>
    </font>
    <font>
      <b/>
      <sz val="14"/>
      <color indexed="60"/>
      <name val="Times New Roman"/>
      <family val="1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48"/>
      <name val="Arial"/>
      <family val="2"/>
    </font>
    <font>
      <sz val="12"/>
      <color indexed="16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color indexed="60"/>
      <name val="Times New Roman"/>
      <family val="1"/>
    </font>
    <font>
      <sz val="8"/>
      <color indexed="18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9.5"/>
      <name val="Arial"/>
      <family val="0"/>
    </font>
    <font>
      <sz val="11.5"/>
      <name val="Arial"/>
      <family val="0"/>
    </font>
    <font>
      <sz val="9"/>
      <name val="CCSmall"/>
      <family val="2"/>
    </font>
    <font>
      <sz val="8"/>
      <name val="CCSmall"/>
      <family val="2"/>
    </font>
    <font>
      <sz val="7"/>
      <name val="Tahoma"/>
      <family val="0"/>
    </font>
    <font>
      <b/>
      <sz val="7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42"/>
        <bgColor indexed="9"/>
      </patternFill>
    </fill>
    <fill>
      <patternFill patternType="lightGray">
        <fgColor indexed="9"/>
        <bgColor indexed="42"/>
      </patternFill>
    </fill>
    <fill>
      <patternFill patternType="mediumGray">
        <fgColor indexed="9"/>
        <bgColor indexed="42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 style="hair">
        <color indexed="50"/>
      </left>
      <right style="hair">
        <color indexed="50"/>
      </right>
      <top style="hair">
        <color indexed="50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hair">
        <color indexed="57"/>
      </bottom>
    </border>
    <border>
      <left style="thick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n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hair">
        <color indexed="57"/>
      </bottom>
    </border>
    <border>
      <left style="thick">
        <color indexed="17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7"/>
      </right>
      <top style="thin"/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7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>
        <color indexed="63"/>
      </left>
      <right style="double">
        <color indexed="57"/>
      </right>
      <top style="thick">
        <color indexed="57"/>
      </top>
      <bottom>
        <color indexed="63"/>
      </bottom>
    </border>
    <border>
      <left>
        <color indexed="63"/>
      </left>
      <right style="double">
        <color indexed="57"/>
      </right>
      <top>
        <color indexed="63"/>
      </top>
      <bottom>
        <color indexed="63"/>
      </bottom>
    </border>
    <border>
      <left>
        <color indexed="63"/>
      </left>
      <right style="double">
        <color indexed="57"/>
      </right>
      <top>
        <color indexed="63"/>
      </top>
      <bottom style="thick">
        <color indexed="57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 style="hair">
        <color indexed="57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n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n">
        <color indexed="5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9" fillId="3" borderId="0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9" fillId="2" borderId="2" xfId="0" applyFont="1" applyFill="1" applyBorder="1" applyAlignment="1" applyProtection="1">
      <alignment/>
      <protection hidden="1"/>
    </xf>
    <xf numFmtId="0" fontId="9" fillId="2" borderId="3" xfId="0" applyFont="1" applyFill="1" applyBorder="1" applyAlignment="1" applyProtection="1">
      <alignment/>
      <protection hidden="1"/>
    </xf>
    <xf numFmtId="0" fontId="9" fillId="2" borderId="4" xfId="0" applyFont="1" applyFill="1" applyBorder="1" applyAlignment="1" applyProtection="1">
      <alignment/>
      <protection hidden="1"/>
    </xf>
    <xf numFmtId="0" fontId="9" fillId="2" borderId="5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4" borderId="0" xfId="0" applyFill="1" applyAlignment="1">
      <alignment/>
    </xf>
    <xf numFmtId="0" fontId="2" fillId="2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1" fillId="2" borderId="6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4" borderId="0" xfId="0" applyFont="1" applyFill="1" applyAlignment="1" applyProtection="1">
      <alignment/>
      <protection hidden="1"/>
    </xf>
    <xf numFmtId="0" fontId="11" fillId="4" borderId="0" xfId="0" applyFont="1" applyFill="1" applyBorder="1" applyAlignment="1" applyProtection="1">
      <alignment/>
      <protection hidden="1"/>
    </xf>
    <xf numFmtId="0" fontId="9" fillId="4" borderId="0" xfId="0" applyFont="1" applyFill="1" applyAlignment="1">
      <alignment/>
    </xf>
    <xf numFmtId="0" fontId="11" fillId="2" borderId="4" xfId="0" applyFont="1" applyFill="1" applyBorder="1" applyAlignment="1" applyProtection="1">
      <alignment/>
      <protection hidden="1"/>
    </xf>
    <xf numFmtId="0" fontId="1" fillId="5" borderId="7" xfId="0" applyFont="1" applyFill="1" applyBorder="1" applyAlignment="1" applyProtection="1">
      <alignment/>
      <protection hidden="1"/>
    </xf>
    <xf numFmtId="0" fontId="0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9" fillId="2" borderId="8" xfId="0" applyFont="1" applyFill="1" applyBorder="1" applyAlignment="1" applyProtection="1">
      <alignment/>
      <protection hidden="1"/>
    </xf>
    <xf numFmtId="0" fontId="9" fillId="2" borderId="9" xfId="0" applyFont="1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9" fillId="2" borderId="10" xfId="0" applyFont="1" applyFill="1" applyBorder="1" applyAlignment="1" applyProtection="1">
      <alignment/>
      <protection hidden="1"/>
    </xf>
    <xf numFmtId="0" fontId="9" fillId="2" borderId="11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3" fillId="4" borderId="12" xfId="0" applyFont="1" applyFill="1" applyBorder="1" applyAlignment="1" applyProtection="1">
      <alignment/>
      <protection locked="0"/>
    </xf>
    <xf numFmtId="0" fontId="13" fillId="3" borderId="12" xfId="0" applyFont="1" applyFill="1" applyBorder="1" applyAlignment="1" applyProtection="1">
      <alignment/>
      <protection locked="0"/>
    </xf>
    <xf numFmtId="0" fontId="13" fillId="6" borderId="12" xfId="0" applyFont="1" applyFill="1" applyBorder="1" applyAlignment="1" applyProtection="1">
      <alignment/>
      <protection locked="0"/>
    </xf>
    <xf numFmtId="0" fontId="13" fillId="7" borderId="12" xfId="0" applyFont="1" applyFill="1" applyBorder="1" applyAlignment="1" applyProtection="1">
      <alignment/>
      <protection locked="0"/>
    </xf>
    <xf numFmtId="0" fontId="1" fillId="5" borderId="13" xfId="0" applyFont="1" applyFill="1" applyBorder="1" applyAlignment="1" applyProtection="1">
      <alignment/>
      <protection hidden="1"/>
    </xf>
    <xf numFmtId="0" fontId="2" fillId="2" borderId="13" xfId="0" applyFont="1" applyFill="1" applyBorder="1" applyAlignment="1" applyProtection="1">
      <alignment/>
      <protection hidden="1"/>
    </xf>
    <xf numFmtId="0" fontId="2" fillId="8" borderId="13" xfId="0" applyFont="1" applyFill="1" applyBorder="1" applyAlignment="1" applyProtection="1">
      <alignment/>
      <protection hidden="1"/>
    </xf>
    <xf numFmtId="0" fontId="2" fillId="9" borderId="13" xfId="0" applyFont="1" applyFill="1" applyBorder="1" applyAlignment="1" applyProtection="1">
      <alignment/>
      <protection hidden="1"/>
    </xf>
    <xf numFmtId="0" fontId="5" fillId="5" borderId="13" xfId="0" applyFont="1" applyFill="1" applyBorder="1" applyAlignment="1" applyProtection="1">
      <alignment/>
      <protection hidden="1"/>
    </xf>
    <xf numFmtId="0" fontId="1" fillId="2" borderId="13" xfId="0" applyFont="1" applyFill="1" applyBorder="1" applyAlignment="1" applyProtection="1">
      <alignment/>
      <protection hidden="1"/>
    </xf>
    <xf numFmtId="0" fontId="19" fillId="2" borderId="8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8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" fillId="2" borderId="8" xfId="0" applyFont="1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2" fillId="2" borderId="14" xfId="0" applyFont="1" applyFill="1" applyBorder="1" applyAlignment="1" applyProtection="1">
      <alignment/>
      <protection hidden="1"/>
    </xf>
    <xf numFmtId="0" fontId="22" fillId="2" borderId="8" xfId="0" applyFont="1" applyFill="1" applyBorder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11" fillId="2" borderId="8" xfId="0" applyFont="1" applyFill="1" applyBorder="1" applyAlignment="1" applyProtection="1">
      <alignment/>
      <protection hidden="1"/>
    </xf>
    <xf numFmtId="0" fontId="23" fillId="2" borderId="0" xfId="0" applyFont="1" applyFill="1" applyBorder="1" applyAlignment="1">
      <alignment/>
    </xf>
    <xf numFmtId="0" fontId="1" fillId="2" borderId="9" xfId="0" applyFont="1" applyFill="1" applyBorder="1" applyAlignment="1" applyProtection="1">
      <alignment/>
      <protection hidden="1"/>
    </xf>
    <xf numFmtId="0" fontId="22" fillId="2" borderId="9" xfId="0" applyFont="1" applyFill="1" applyBorder="1" applyAlignment="1" applyProtection="1">
      <alignment/>
      <protection hidden="1"/>
    </xf>
    <xf numFmtId="0" fontId="11" fillId="2" borderId="9" xfId="0" applyFont="1" applyFill="1" applyBorder="1" applyAlignment="1" applyProtection="1">
      <alignment/>
      <protection hidden="1"/>
    </xf>
    <xf numFmtId="0" fontId="1" fillId="3" borderId="13" xfId="0" applyFont="1" applyFill="1" applyBorder="1" applyAlignment="1" applyProtection="1">
      <alignment/>
      <protection hidden="1"/>
    </xf>
    <xf numFmtId="0" fontId="1" fillId="10" borderId="13" xfId="0" applyFont="1" applyFill="1" applyBorder="1" applyAlignment="1" applyProtection="1">
      <alignment/>
      <protection hidden="1"/>
    </xf>
    <xf numFmtId="0" fontId="13" fillId="11" borderId="12" xfId="0" applyFont="1" applyFill="1" applyBorder="1" applyAlignment="1" applyProtection="1">
      <alignment/>
      <protection locked="0"/>
    </xf>
    <xf numFmtId="0" fontId="1" fillId="12" borderId="13" xfId="0" applyFont="1" applyFill="1" applyBorder="1" applyAlignment="1" applyProtection="1">
      <alignment/>
      <protection hidden="1"/>
    </xf>
    <xf numFmtId="0" fontId="2" fillId="12" borderId="15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4" borderId="0" xfId="0" applyFill="1" applyAlignment="1" applyProtection="1">
      <alignment/>
      <protection locked="0"/>
    </xf>
    <xf numFmtId="0" fontId="10" fillId="2" borderId="12" xfId="0" applyFont="1" applyFill="1" applyBorder="1" applyAlignment="1" applyProtection="1">
      <alignment/>
      <protection locked="0"/>
    </xf>
    <xf numFmtId="0" fontId="19" fillId="3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19" fillId="2" borderId="0" xfId="0" applyFont="1" applyFill="1" applyBorder="1" applyAlignment="1" applyProtection="1">
      <alignment/>
      <protection hidden="1"/>
    </xf>
    <xf numFmtId="0" fontId="9" fillId="3" borderId="0" xfId="0" applyNumberFormat="1" applyFont="1" applyFill="1" applyBorder="1" applyAlignment="1" applyProtection="1">
      <alignment/>
      <protection hidden="1"/>
    </xf>
    <xf numFmtId="0" fontId="0" fillId="3" borderId="0" xfId="0" applyNumberFormat="1" applyFont="1" applyFill="1" applyBorder="1" applyAlignment="1" applyProtection="1">
      <alignment/>
      <protection hidden="1"/>
    </xf>
    <xf numFmtId="0" fontId="19" fillId="3" borderId="0" xfId="0" applyNumberFormat="1" applyFont="1" applyFill="1" applyBorder="1" applyAlignment="1" applyProtection="1">
      <alignment/>
      <protection hidden="1"/>
    </xf>
    <xf numFmtId="0" fontId="26" fillId="2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0" fontId="19" fillId="2" borderId="0" xfId="0" applyNumberFormat="1" applyFont="1" applyFill="1" applyBorder="1" applyAlignment="1" applyProtection="1">
      <alignment/>
      <protection hidden="1"/>
    </xf>
    <xf numFmtId="0" fontId="16" fillId="3" borderId="0" xfId="0" applyNumberFormat="1" applyFont="1" applyFill="1" applyBorder="1" applyAlignment="1" applyProtection="1">
      <alignment horizontal="center"/>
      <protection hidden="1"/>
    </xf>
    <xf numFmtId="0" fontId="9" fillId="3" borderId="0" xfId="0" applyNumberFormat="1" applyFont="1" applyFill="1" applyBorder="1" applyAlignment="1" applyProtection="1">
      <alignment horizontal="center"/>
      <protection hidden="1"/>
    </xf>
    <xf numFmtId="0" fontId="9" fillId="3" borderId="9" xfId="0" applyFont="1" applyFill="1" applyBorder="1" applyAlignment="1" applyProtection="1">
      <alignment horizontal="center"/>
      <protection hidden="1"/>
    </xf>
    <xf numFmtId="0" fontId="9" fillId="3" borderId="9" xfId="0" applyFont="1" applyFill="1" applyBorder="1" applyAlignment="1" applyProtection="1">
      <alignment/>
      <protection hidden="1"/>
    </xf>
    <xf numFmtId="0" fontId="0" fillId="2" borderId="14" xfId="0" applyFill="1" applyBorder="1" applyAlignment="1">
      <alignment/>
    </xf>
    <xf numFmtId="0" fontId="19" fillId="3" borderId="16" xfId="0" applyFont="1" applyFill="1" applyBorder="1" applyAlignment="1" applyProtection="1">
      <alignment/>
      <protection hidden="1"/>
    </xf>
    <xf numFmtId="0" fontId="9" fillId="3" borderId="16" xfId="0" applyNumberFormat="1" applyFont="1" applyFill="1" applyBorder="1" applyAlignment="1" applyProtection="1">
      <alignment/>
      <protection hidden="1"/>
    </xf>
    <xf numFmtId="0" fontId="9" fillId="3" borderId="17" xfId="0" applyFont="1" applyFill="1" applyBorder="1" applyAlignment="1" applyProtection="1">
      <alignment/>
      <protection hidden="1"/>
    </xf>
    <xf numFmtId="0" fontId="25" fillId="3" borderId="18" xfId="0" applyFont="1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/>
      <protection locked="0"/>
    </xf>
    <xf numFmtId="0" fontId="0" fillId="2" borderId="19" xfId="0" applyNumberFormat="1" applyFont="1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hidden="1"/>
    </xf>
    <xf numFmtId="0" fontId="0" fillId="3" borderId="21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22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3" borderId="19" xfId="0" applyNumberFormat="1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1" fillId="2" borderId="23" xfId="0" applyFont="1" applyFill="1" applyBorder="1" applyAlignment="1" applyProtection="1">
      <alignment/>
      <protection hidden="1"/>
    </xf>
    <xf numFmtId="0" fontId="11" fillId="2" borderId="7" xfId="0" applyFont="1" applyFill="1" applyBorder="1" applyAlignment="1" applyProtection="1">
      <alignment/>
      <protection hidden="1"/>
    </xf>
    <xf numFmtId="0" fontId="9" fillId="2" borderId="7" xfId="0" applyFont="1" applyFill="1" applyBorder="1" applyAlignment="1" applyProtection="1">
      <alignment/>
      <protection hidden="1"/>
    </xf>
    <xf numFmtId="0" fontId="12" fillId="2" borderId="7" xfId="0" applyFont="1" applyFill="1" applyBorder="1" applyAlignment="1" applyProtection="1">
      <alignment/>
      <protection hidden="1"/>
    </xf>
    <xf numFmtId="0" fontId="9" fillId="2" borderId="24" xfId="0" applyFont="1" applyFill="1" applyBorder="1" applyAlignment="1" applyProtection="1">
      <alignment/>
      <protection hidden="1"/>
    </xf>
    <xf numFmtId="0" fontId="9" fillId="2" borderId="25" xfId="0" applyFont="1" applyFill="1" applyBorder="1" applyAlignment="1" applyProtection="1">
      <alignment/>
      <protection hidden="1"/>
    </xf>
    <xf numFmtId="0" fontId="9" fillId="2" borderId="6" xfId="0" applyFont="1" applyFill="1" applyBorder="1" applyAlignment="1" applyProtection="1">
      <alignment/>
      <protection hidden="1"/>
    </xf>
    <xf numFmtId="0" fontId="9" fillId="2" borderId="26" xfId="0" applyFont="1" applyFill="1" applyBorder="1" applyAlignment="1" applyProtection="1">
      <alignment/>
      <protection hidden="1"/>
    </xf>
    <xf numFmtId="0" fontId="10" fillId="2" borderId="4" xfId="0" applyFont="1" applyFill="1" applyBorder="1" applyAlignment="1" applyProtection="1">
      <alignment/>
      <protection hidden="1"/>
    </xf>
    <xf numFmtId="0" fontId="14" fillId="3" borderId="27" xfId="0" applyFont="1" applyFill="1" applyBorder="1" applyAlignment="1" applyProtection="1">
      <alignment/>
      <protection locked="0"/>
    </xf>
    <xf numFmtId="0" fontId="0" fillId="7" borderId="28" xfId="0" applyFill="1" applyBorder="1" applyAlignment="1" applyProtection="1">
      <alignment/>
      <protection hidden="1"/>
    </xf>
    <xf numFmtId="0" fontId="0" fillId="7" borderId="29" xfId="0" applyFill="1" applyBorder="1" applyAlignment="1" applyProtection="1">
      <alignment/>
      <protection hidden="1"/>
    </xf>
    <xf numFmtId="0" fontId="0" fillId="7" borderId="29" xfId="0" applyFill="1" applyBorder="1" applyAlignment="1" applyProtection="1">
      <alignment horizontal="center"/>
      <protection hidden="1"/>
    </xf>
    <xf numFmtId="0" fontId="0" fillId="7" borderId="30" xfId="0" applyFill="1" applyBorder="1" applyAlignment="1" applyProtection="1">
      <alignment/>
      <protection hidden="1"/>
    </xf>
    <xf numFmtId="0" fontId="0" fillId="7" borderId="8" xfId="0" applyFill="1" applyBorder="1" applyAlignment="1" applyProtection="1">
      <alignment/>
      <protection hidden="1"/>
    </xf>
    <xf numFmtId="0" fontId="0" fillId="7" borderId="9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0" fillId="3" borderId="28" xfId="0" applyFill="1" applyBorder="1" applyAlignment="1" applyProtection="1">
      <alignment/>
      <protection hidden="1"/>
    </xf>
    <xf numFmtId="0" fontId="0" fillId="3" borderId="29" xfId="0" applyFill="1" applyBorder="1" applyAlignment="1" applyProtection="1">
      <alignment/>
      <protection hidden="1"/>
    </xf>
    <xf numFmtId="0" fontId="0" fillId="3" borderId="31" xfId="0" applyFill="1" applyBorder="1" applyAlignment="1" applyProtection="1">
      <alignment/>
      <protection hidden="1"/>
    </xf>
    <xf numFmtId="0" fontId="0" fillId="3" borderId="30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32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3" borderId="33" xfId="0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9" fillId="3" borderId="34" xfId="0" applyNumberFormat="1" applyFont="1" applyFill="1" applyBorder="1" applyAlignment="1" applyProtection="1">
      <alignment/>
      <protection hidden="1"/>
    </xf>
    <xf numFmtId="0" fontId="9" fillId="3" borderId="35" xfId="0" applyNumberFormat="1" applyFont="1" applyFill="1" applyBorder="1" applyAlignment="1" applyProtection="1">
      <alignment/>
      <protection hidden="1"/>
    </xf>
    <xf numFmtId="0" fontId="9" fillId="2" borderId="36" xfId="0" applyNumberFormat="1" applyFont="1" applyFill="1" applyBorder="1" applyAlignment="1" applyProtection="1">
      <alignment/>
      <protection hidden="1"/>
    </xf>
    <xf numFmtId="0" fontId="1" fillId="3" borderId="13" xfId="0" applyNumberFormat="1" applyFont="1" applyFill="1" applyBorder="1" applyAlignment="1" applyProtection="1">
      <alignment/>
      <protection hidden="1"/>
    </xf>
    <xf numFmtId="0" fontId="19" fillId="0" borderId="32" xfId="0" applyFont="1" applyBorder="1" applyAlignment="1" applyProtection="1">
      <alignment/>
      <protection hidden="1"/>
    </xf>
    <xf numFmtId="0" fontId="33" fillId="3" borderId="37" xfId="0" applyFont="1" applyFill="1" applyBorder="1" applyAlignment="1" applyProtection="1">
      <alignment horizontal="center"/>
      <protection hidden="1"/>
    </xf>
    <xf numFmtId="0" fontId="18" fillId="7" borderId="28" xfId="0" applyFont="1" applyFill="1" applyBorder="1" applyAlignment="1" applyProtection="1">
      <alignment horizontal="center"/>
      <protection hidden="1"/>
    </xf>
    <xf numFmtId="0" fontId="17" fillId="0" borderId="29" xfId="0" applyFont="1" applyBorder="1" applyAlignment="1" applyProtection="1">
      <alignment horizontal="center"/>
      <protection hidden="1"/>
    </xf>
    <xf numFmtId="0" fontId="17" fillId="0" borderId="30" xfId="0" applyFont="1" applyBorder="1" applyAlignment="1" applyProtection="1">
      <alignment horizontal="center"/>
      <protection hidden="1"/>
    </xf>
    <xf numFmtId="0" fontId="15" fillId="3" borderId="38" xfId="0" applyFont="1" applyFill="1" applyBorder="1" applyAlignment="1" applyProtection="1">
      <alignment horizontal="center"/>
      <protection hidden="1"/>
    </xf>
    <xf numFmtId="0" fontId="0" fillId="3" borderId="39" xfId="0" applyFill="1" applyBorder="1" applyAlignment="1" applyProtection="1">
      <alignment horizontal="center"/>
      <protection hidden="1"/>
    </xf>
    <xf numFmtId="0" fontId="0" fillId="3" borderId="40" xfId="0" applyFill="1" applyBorder="1" applyAlignment="1" applyProtection="1">
      <alignment horizontal="center"/>
      <protection hidden="1"/>
    </xf>
    <xf numFmtId="0" fontId="25" fillId="7" borderId="41" xfId="0" applyFont="1" applyFill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16" fillId="5" borderId="44" xfId="0" applyNumberFormat="1" applyFont="1" applyFill="1" applyBorder="1" applyAlignment="1" applyProtection="1">
      <alignment horizontal="center"/>
      <protection locked="0"/>
    </xf>
    <xf numFmtId="0" fontId="16" fillId="0" borderId="45" xfId="0" applyNumberFormat="1" applyFont="1" applyBorder="1" applyAlignment="1" applyProtection="1">
      <alignment horizontal="center"/>
      <protection locked="0"/>
    </xf>
    <xf numFmtId="0" fontId="29" fillId="13" borderId="46" xfId="0" applyNumberFormat="1" applyFont="1" applyFill="1" applyBorder="1" applyAlignment="1" applyProtection="1">
      <alignment horizontal="center"/>
      <protection locked="0"/>
    </xf>
    <xf numFmtId="0" fontId="29" fillId="13" borderId="47" xfId="0" applyNumberFormat="1" applyFont="1" applyFill="1" applyBorder="1" applyAlignment="1" applyProtection="1">
      <alignment horizontal="center"/>
      <protection locked="0"/>
    </xf>
    <xf numFmtId="0" fontId="16" fillId="3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26" fillId="2" borderId="0" xfId="0" applyNumberFormat="1" applyFont="1" applyFill="1" applyBorder="1" applyAlignment="1" applyProtection="1">
      <alignment horizontal="center"/>
      <protection hidden="1"/>
    </xf>
    <xf numFmtId="0" fontId="27" fillId="0" borderId="0" xfId="0" applyNumberFormat="1" applyFont="1" applyBorder="1" applyAlignment="1" applyProtection="1">
      <alignment horizontal="center"/>
      <protection hidden="1"/>
    </xf>
    <xf numFmtId="0" fontId="16" fillId="7" borderId="0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19" fillId="0" borderId="9" xfId="0" applyFont="1" applyBorder="1" applyAlignment="1" applyProtection="1">
      <alignment/>
      <protection hidden="1"/>
    </xf>
    <xf numFmtId="0" fontId="0" fillId="5" borderId="48" xfId="0" applyFill="1" applyBorder="1" applyAlignment="1" applyProtection="1">
      <alignment/>
      <protection locked="0"/>
    </xf>
    <xf numFmtId="0" fontId="0" fillId="5" borderId="49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hidden="1"/>
    </xf>
    <xf numFmtId="0" fontId="0" fillId="2" borderId="50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30" fillId="7" borderId="52" xfId="0" applyFont="1" applyFill="1" applyBorder="1" applyAlignment="1" applyProtection="1">
      <alignment horizontal="center"/>
      <protection hidden="1"/>
    </xf>
    <xf numFmtId="0" fontId="30" fillId="7" borderId="53" xfId="0" applyFont="1" applyFill="1" applyBorder="1" applyAlignment="1" applyProtection="1">
      <alignment horizontal="center"/>
      <protection hidden="1"/>
    </xf>
    <xf numFmtId="0" fontId="30" fillId="7" borderId="54" xfId="0" applyFont="1" applyFill="1" applyBorder="1" applyAlignment="1" applyProtection="1">
      <alignment horizontal="center"/>
      <protection hidden="1"/>
    </xf>
    <xf numFmtId="0" fontId="31" fillId="7" borderId="25" xfId="0" applyFont="1" applyFill="1" applyBorder="1" applyAlignment="1" applyProtection="1">
      <alignment horizontal="center"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31" fillId="0" borderId="26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85"/>
        </c:manualLayout>
      </c:layout>
      <c:bubbleChart>
        <c:varyColors val="0"/>
        <c:ser>
          <c:idx val="0"/>
          <c:order val="0"/>
          <c:tx>
            <c:v>Z in</c:v>
          </c:tx>
          <c:spPr>
            <a:gradFill rotWithShape="1">
              <a:gsLst>
                <a:gs pos="0">
                  <a:srgbClr val="FFCC00"/>
                </a:gs>
                <a:gs pos="100000">
                  <a:srgbClr val="DFB200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 ;[Red]\-0\ " sourceLinked="0"/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0_ ;[Red]\-0\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'Z-TL-Z'!$G$18</c:f>
              <c:numCache>
                <c:ptCount val="1"/>
                <c:pt idx="0">
                  <c:v>95.7552502914443</c:v>
                </c:pt>
              </c:numCache>
            </c:numRef>
          </c:xVal>
          <c:yVal>
            <c:numRef>
              <c:f>'Z-TL-Z'!$G$19</c:f>
              <c:numCache>
                <c:ptCount val="1"/>
                <c:pt idx="0">
                  <c:v>-42.038527931718036</c:v>
                </c:pt>
              </c:numCache>
            </c:numRef>
          </c:yVal>
          <c:bubbleSize>
            <c:numRef>
              <c:f>'Z-TL-Z'!$G$20</c:f>
              <c:numCache>
                <c:ptCount val="1"/>
                <c:pt idx="0">
                  <c:v>104.57679374049953</c:v>
                </c:pt>
              </c:numCache>
            </c:numRef>
          </c:bubbleSize>
        </c:ser>
        <c:ser>
          <c:idx val="1"/>
          <c:order val="1"/>
          <c:tx>
            <c:v>Zo</c:v>
          </c:tx>
          <c:spPr>
            <a:gradFill rotWithShape="1">
              <a:gsLst>
                <a:gs pos="0">
                  <a:srgbClr val="00FF00"/>
                </a:gs>
                <a:gs pos="100000">
                  <a:srgbClr val="00D900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'Z-TL-Z'!$F$7</c:f>
              <c:numCache>
                <c:ptCount val="1"/>
                <c:pt idx="0">
                  <c:v>75</c:v>
                </c:pt>
              </c:numCache>
            </c:numRef>
          </c:xVal>
          <c:yVal>
            <c:numRef>
              <c:f>'Z-TL-Z'!$B$24</c:f>
              <c:numCache>
                <c:ptCount val="1"/>
                <c:pt idx="0">
                  <c:v>0</c:v>
                </c:pt>
              </c:numCache>
            </c:numRef>
          </c:yVal>
          <c:bubbleSize>
            <c:numRef>
              <c:f>'Z-TL-Z'!$F$7</c:f>
              <c:numCache>
                <c:ptCount val="1"/>
                <c:pt idx="0">
                  <c:v>75</c:v>
                </c:pt>
              </c:numCache>
            </c:numRef>
          </c:bubbleSize>
        </c:ser>
        <c:ser>
          <c:idx val="2"/>
          <c:order val="2"/>
          <c:tx>
            <c:v>Za</c:v>
          </c:tx>
          <c:spPr>
            <a:gradFill rotWithShape="1">
              <a:gsLst>
                <a:gs pos="0">
                  <a:srgbClr val="00FFFF"/>
                </a:gs>
                <a:gs pos="100000">
                  <a:srgbClr val="00D2D2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;[Red]\-0\ " sourceLinked="0"/>
            <c:txPr>
              <a:bodyPr vert="horz" rot="6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'Z-TL-Z'!$F$11</c:f>
              <c:numCache>
                <c:ptCount val="1"/>
                <c:pt idx="0">
                  <c:v>44</c:v>
                </c:pt>
              </c:numCache>
            </c:numRef>
          </c:xVal>
          <c:yVal>
            <c:numRef>
              <c:f>'Z-TL-Z'!$F$12</c:f>
              <c:numCache>
                <c:ptCount val="1"/>
                <c:pt idx="0">
                  <c:v>7</c:v>
                </c:pt>
              </c:numCache>
            </c:numRef>
          </c:yVal>
          <c:bubbleSize>
            <c:numRef>
              <c:f>'Z-TL-Z'!$G$13</c:f>
              <c:numCache>
                <c:ptCount val="1"/>
                <c:pt idx="0">
                  <c:v>44.553338819890925</c:v>
                </c:pt>
              </c:numCache>
            </c:numRef>
          </c:bubbleSize>
        </c:ser>
        <c:axId val="30024865"/>
        <c:axId val="1788330"/>
      </c:bubbleChart>
      <c:valAx>
        <c:axId val="30024865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8330"/>
        <c:crosses val="autoZero"/>
        <c:crossBetween val="midCat"/>
        <c:dispUnits/>
      </c:valAx>
      <c:valAx>
        <c:axId val="1788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024865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25"/>
          <c:y val="0.948"/>
          <c:w val="0.757"/>
          <c:h val="0.049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8000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10</xdr:col>
      <xdr:colOff>742950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619500" y="247650"/>
        <a:ext cx="1962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F67"/>
  <sheetViews>
    <sheetView workbookViewId="0" topLeftCell="A3">
      <selection activeCell="F6" sqref="F6"/>
    </sheetView>
  </sheetViews>
  <sheetFormatPr defaultColWidth="9.140625" defaultRowHeight="12.75"/>
  <cols>
    <col min="1" max="1" width="0.5625" style="10" customWidth="1"/>
    <col min="5" max="5" width="7.28125" style="0" customWidth="1"/>
    <col min="6" max="6" width="6.7109375" style="0" customWidth="1"/>
    <col min="7" max="7" width="6.57421875" style="0" customWidth="1"/>
    <col min="8" max="8" width="5.7109375" style="0" customWidth="1"/>
    <col min="11" max="11" width="11.28125" style="0" customWidth="1"/>
  </cols>
  <sheetData>
    <row r="1" ht="2.25" customHeight="1" hidden="1"/>
    <row r="2" ht="2.25" customHeight="1" hidden="1"/>
    <row r="3" ht="3" customHeight="1" thickBot="1"/>
    <row r="4" spans="1:22" ht="16.5" customHeight="1" thickTop="1">
      <c r="A4" s="23"/>
      <c r="B4" s="149" t="s">
        <v>38</v>
      </c>
      <c r="C4" s="150"/>
      <c r="D4" s="150"/>
      <c r="E4" s="150"/>
      <c r="F4" s="150"/>
      <c r="G4" s="150"/>
      <c r="H4" s="150"/>
      <c r="I4" s="150"/>
      <c r="J4" s="150"/>
      <c r="K4" s="151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" customHeight="1">
      <c r="A5" s="23"/>
      <c r="B5" s="152" t="s">
        <v>39</v>
      </c>
      <c r="C5" s="153"/>
      <c r="D5" s="153"/>
      <c r="E5" s="153"/>
      <c r="F5" s="153"/>
      <c r="G5" s="153"/>
      <c r="H5" s="154"/>
      <c r="I5" s="82"/>
      <c r="J5" s="82"/>
      <c r="K5" s="83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4.25" customHeight="1">
      <c r="A6" s="23"/>
      <c r="B6" s="61" t="s">
        <v>14</v>
      </c>
      <c r="C6" s="62"/>
      <c r="D6" s="62"/>
      <c r="E6" s="25"/>
      <c r="F6" s="51">
        <v>14.17</v>
      </c>
      <c r="G6" s="1" t="s">
        <v>12</v>
      </c>
      <c r="H6" s="39"/>
      <c r="I6" s="47"/>
      <c r="J6" s="47"/>
      <c r="K6" s="48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3"/>
      <c r="B7" s="61" t="s">
        <v>40</v>
      </c>
      <c r="C7" s="62"/>
      <c r="D7" s="1"/>
      <c r="E7" s="25"/>
      <c r="F7" s="79">
        <v>75</v>
      </c>
      <c r="G7" s="1" t="s">
        <v>11</v>
      </c>
      <c r="H7" s="39"/>
      <c r="I7" s="47"/>
      <c r="J7" s="47"/>
      <c r="K7" s="48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s="23"/>
      <c r="B8" s="61" t="s">
        <v>31</v>
      </c>
      <c r="C8" s="62"/>
      <c r="D8" s="62"/>
      <c r="E8" s="25"/>
      <c r="F8" s="52">
        <v>60</v>
      </c>
      <c r="G8" s="1" t="s">
        <v>13</v>
      </c>
      <c r="H8" s="40"/>
      <c r="I8" s="47"/>
      <c r="J8" s="47"/>
      <c r="K8" s="4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4.25" customHeight="1">
      <c r="A9" s="23"/>
      <c r="B9" s="61" t="s">
        <v>29</v>
      </c>
      <c r="C9" s="62"/>
      <c r="D9" s="62"/>
      <c r="E9" s="25"/>
      <c r="F9" s="52">
        <v>0.66</v>
      </c>
      <c r="G9" s="1"/>
      <c r="H9" s="39"/>
      <c r="I9" s="47"/>
      <c r="J9" s="47"/>
      <c r="K9" s="48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.5" customHeight="1" hidden="1">
      <c r="A10" s="23"/>
      <c r="B10" s="38"/>
      <c r="C10" s="1"/>
      <c r="D10" s="1"/>
      <c r="E10" s="25"/>
      <c r="F10" s="85"/>
      <c r="G10" s="1"/>
      <c r="H10" s="39"/>
      <c r="I10" s="47"/>
      <c r="J10" s="47"/>
      <c r="K10" s="4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s="23"/>
      <c r="B11" s="65" t="s">
        <v>41</v>
      </c>
      <c r="C11" s="66"/>
      <c r="D11" s="62"/>
      <c r="E11" s="25"/>
      <c r="F11" s="53">
        <v>44</v>
      </c>
      <c r="G11" s="73" t="s">
        <v>11</v>
      </c>
      <c r="H11" s="39"/>
      <c r="I11" s="47"/>
      <c r="J11" s="47"/>
      <c r="K11" s="4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23"/>
      <c r="B12" s="63" t="s">
        <v>42</v>
      </c>
      <c r="C12" s="64"/>
      <c r="D12" s="64"/>
      <c r="E12" s="25"/>
      <c r="F12" s="54">
        <v>7</v>
      </c>
      <c r="G12" s="73" t="s">
        <v>11</v>
      </c>
      <c r="H12" s="39"/>
      <c r="I12" s="47"/>
      <c r="J12" s="47"/>
      <c r="K12" s="4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23"/>
      <c r="B13" s="70" t="s">
        <v>37</v>
      </c>
      <c r="C13" s="71"/>
      <c r="D13" s="71"/>
      <c r="E13" s="4"/>
      <c r="F13" s="26"/>
      <c r="G13" s="78">
        <f>SQRT(F11*F11+F12*F12)</f>
        <v>44.553338819890925</v>
      </c>
      <c r="H13" s="42"/>
      <c r="I13" s="47"/>
      <c r="J13" s="47"/>
      <c r="K13" s="4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23"/>
      <c r="B14" s="70" t="s">
        <v>28</v>
      </c>
      <c r="C14" s="71"/>
      <c r="D14" s="71"/>
      <c r="E14" s="78">
        <f>ATAN(F12/F11)</f>
        <v>0.15776873759595397</v>
      </c>
      <c r="F14" s="71" t="s">
        <v>22</v>
      </c>
      <c r="G14" s="78">
        <f>57.2957795*E14</f>
        <v>9.03948280129114</v>
      </c>
      <c r="H14" s="75" t="s">
        <v>18</v>
      </c>
      <c r="I14" s="47"/>
      <c r="J14" s="47"/>
      <c r="K14" s="4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23"/>
      <c r="B15" s="41" t="s">
        <v>30</v>
      </c>
      <c r="C15" s="4"/>
      <c r="D15" s="4"/>
      <c r="E15" s="4"/>
      <c r="F15" s="26"/>
      <c r="G15" s="146">
        <f>F8/(E28*F9)</f>
        <v>4.2969472570193075</v>
      </c>
      <c r="H15" s="42" t="s">
        <v>15</v>
      </c>
      <c r="I15" s="47"/>
      <c r="J15" s="47"/>
      <c r="K15" s="4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23"/>
      <c r="B16" s="41" t="s">
        <v>77</v>
      </c>
      <c r="C16" s="4"/>
      <c r="D16" s="4"/>
      <c r="E16" s="4"/>
      <c r="F16" s="26"/>
      <c r="G16" s="77">
        <f>E31</f>
        <v>106.9010125269507</v>
      </c>
      <c r="H16" s="42" t="s">
        <v>18</v>
      </c>
      <c r="I16" s="47"/>
      <c r="J16" s="47"/>
      <c r="K16" s="4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0" customHeight="1" hidden="1">
      <c r="A17" s="23"/>
      <c r="B17" s="41"/>
      <c r="C17" s="4"/>
      <c r="D17" s="4"/>
      <c r="E17" s="4"/>
      <c r="F17" s="26"/>
      <c r="G17" s="56"/>
      <c r="H17" s="42"/>
      <c r="I17" s="47"/>
      <c r="J17" s="47"/>
      <c r="K17" s="4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23"/>
      <c r="B18" s="67" t="s">
        <v>43</v>
      </c>
      <c r="C18" s="11"/>
      <c r="D18" s="11"/>
      <c r="E18" s="68"/>
      <c r="F18" s="27"/>
      <c r="G18" s="57">
        <f>C33</f>
        <v>95.7552502914443</v>
      </c>
      <c r="H18" s="74" t="s">
        <v>11</v>
      </c>
      <c r="I18" s="47"/>
      <c r="J18" s="47"/>
      <c r="K18" s="4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23"/>
      <c r="B19" s="67" t="s">
        <v>44</v>
      </c>
      <c r="C19" s="11"/>
      <c r="D19" s="11"/>
      <c r="E19" s="68"/>
      <c r="F19" s="4"/>
      <c r="G19" s="58">
        <f>C34</f>
        <v>-42.038527931718036</v>
      </c>
      <c r="H19" s="74" t="s">
        <v>11</v>
      </c>
      <c r="I19" s="47"/>
      <c r="J19" s="47"/>
      <c r="K19" s="4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23"/>
      <c r="B20" s="72" t="s">
        <v>32</v>
      </c>
      <c r="C20" s="27"/>
      <c r="D20" s="27"/>
      <c r="E20" s="27"/>
      <c r="F20" s="4"/>
      <c r="G20" s="59">
        <f>SQRT(G18*G18+G19*G19)</f>
        <v>104.57679374049953</v>
      </c>
      <c r="H20" s="42"/>
      <c r="I20" s="47"/>
      <c r="J20" s="47"/>
      <c r="K20" s="4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s="23"/>
      <c r="B21" s="72" t="s">
        <v>23</v>
      </c>
      <c r="C21" s="27"/>
      <c r="D21" s="27"/>
      <c r="E21" s="55">
        <f>ATAN(G19/G18)</f>
        <v>-0.41368603985831226</v>
      </c>
      <c r="F21" s="27" t="s">
        <v>22</v>
      </c>
      <c r="G21" s="55">
        <f>57.2957795*E21</f>
        <v>-23.702464121950072</v>
      </c>
      <c r="H21" s="76" t="s">
        <v>18</v>
      </c>
      <c r="I21" s="47"/>
      <c r="J21" s="47"/>
      <c r="K21" s="4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2.25" customHeight="1" hidden="1">
      <c r="A22" s="23"/>
      <c r="B22" s="41"/>
      <c r="C22" s="27"/>
      <c r="D22" s="4"/>
      <c r="E22" s="27"/>
      <c r="F22" s="4"/>
      <c r="G22" s="60"/>
      <c r="H22" s="42"/>
      <c r="I22" s="47"/>
      <c r="J22" s="47"/>
      <c r="K22" s="4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3.5" customHeight="1">
      <c r="A23" s="23"/>
      <c r="B23" s="41" t="s">
        <v>20</v>
      </c>
      <c r="C23" s="27"/>
      <c r="D23" s="4"/>
      <c r="E23" s="4"/>
      <c r="F23" s="4"/>
      <c r="G23" s="80">
        <f>SQRT(((F11-F7)*(F11-F7)+F12*F12)/((F7+F11)*(F7+F11)+F12*F12))</f>
        <v>0.26660215030019324</v>
      </c>
      <c r="H23" s="42"/>
      <c r="I23" s="47"/>
      <c r="J23" s="47"/>
      <c r="K23" s="4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3.5" thickBot="1">
      <c r="A24" s="23"/>
      <c r="B24" s="69" t="s">
        <v>21</v>
      </c>
      <c r="C24" s="43"/>
      <c r="D24" s="44"/>
      <c r="E24" s="45"/>
      <c r="F24" s="45"/>
      <c r="G24" s="81">
        <f>(1+G23)/(1-G23)</f>
        <v>1.7270328114796583</v>
      </c>
      <c r="H24" s="46"/>
      <c r="I24" s="49"/>
      <c r="J24" s="49"/>
      <c r="K24" s="5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58" s="10" customFormat="1" ht="13.5" thickTop="1">
      <c r="A25" s="12"/>
      <c r="B25" s="29"/>
      <c r="C25" s="29"/>
      <c r="D25" s="30"/>
      <c r="E25" s="30"/>
      <c r="F25" s="30"/>
      <c r="G25" s="31"/>
      <c r="H25" s="3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</row>
    <row r="26" spans="1:58" s="10" customFormat="1" ht="12.75">
      <c r="A26" s="12"/>
      <c r="B26" s="32">
        <v>0</v>
      </c>
      <c r="C26" s="29">
        <f>B26</f>
        <v>0</v>
      </c>
      <c r="D26" s="30"/>
      <c r="E26" s="30"/>
      <c r="F26" s="30"/>
      <c r="G26" s="31"/>
      <c r="H26" s="3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</row>
    <row r="27" spans="1:58" ht="12.75">
      <c r="A27" s="12"/>
      <c r="B27" s="32"/>
      <c r="C27" s="32"/>
      <c r="D27" s="32"/>
      <c r="E27" s="32"/>
      <c r="F27" s="32"/>
      <c r="G27" s="32"/>
      <c r="H27" s="3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2:58" ht="12.75">
      <c r="B28" s="33" t="s">
        <v>10</v>
      </c>
      <c r="C28" s="33">
        <f>6.28318530718*E29</f>
        <v>26.998515871031117</v>
      </c>
      <c r="D28" s="33"/>
      <c r="E28" s="33">
        <f>299.79/F6</f>
        <v>21.15666901905434</v>
      </c>
      <c r="F28" s="33" t="s">
        <v>17</v>
      </c>
      <c r="G28" s="33"/>
      <c r="H28" s="33"/>
      <c r="I28" s="9">
        <v>-1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2:58" ht="12.75">
      <c r="B29" s="33" t="s">
        <v>4</v>
      </c>
      <c r="C29" s="33">
        <f>1+TAN(C28)*TAN(C28)</f>
        <v>11.831855638607275</v>
      </c>
      <c r="D29" s="33"/>
      <c r="E29" s="33">
        <f>F8/(E28*F9)</f>
        <v>4.2969472570193075</v>
      </c>
      <c r="F29" s="33" t="s">
        <v>16</v>
      </c>
      <c r="G29" s="33"/>
      <c r="H29" s="3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12.75">
      <c r="B30" s="33" t="s">
        <v>5</v>
      </c>
      <c r="C30" s="33">
        <f>POWER((1-(F12/F7)*TAN(C28)),2)</f>
        <v>1.7087108100597743</v>
      </c>
      <c r="D30" s="34"/>
      <c r="E30" s="33">
        <f>(E29-INT(E29))*360</f>
        <v>106.9010125269507</v>
      </c>
      <c r="F30" s="33" t="s">
        <v>78</v>
      </c>
      <c r="G30" s="33">
        <v>0</v>
      </c>
      <c r="H30" s="3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2:58" ht="12.75">
      <c r="B31" s="33" t="s">
        <v>6</v>
      </c>
      <c r="C31" s="33">
        <f>POWER((F11/F7)*TAN(C28),2)</f>
        <v>3.7280840029055433</v>
      </c>
      <c r="D31" s="33"/>
      <c r="E31" s="33">
        <f>IF(E30&gt;=180,-(360-E30),E30)</f>
        <v>106.9010125269507</v>
      </c>
      <c r="F31" s="33" t="s">
        <v>79</v>
      </c>
      <c r="G31" s="33"/>
      <c r="H31" s="3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2:58" ht="12.75">
      <c r="B32" s="33" t="s">
        <v>7</v>
      </c>
      <c r="C32" s="33">
        <f>(F7-(F11*F11+F12*F12)/F7)*TAN(C28)</f>
        <v>-159.7318611336113</v>
      </c>
      <c r="D32" s="33"/>
      <c r="E32" s="33">
        <f>(1-TAN(C28)*TAN(C28))</f>
        <v>-9.831855638607275</v>
      </c>
      <c r="F32" s="33"/>
      <c r="G32" s="33"/>
      <c r="H32" s="33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2:58" ht="12.75">
      <c r="B33" s="33" t="s">
        <v>8</v>
      </c>
      <c r="C33" s="33">
        <f>F11*C29/(C30+C31)</f>
        <v>95.7552502914443</v>
      </c>
      <c r="D33" s="33"/>
      <c r="E33" s="33"/>
      <c r="F33" s="33"/>
      <c r="G33" s="33"/>
      <c r="H33" s="33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2:58" ht="12.75">
      <c r="B34" s="33" t="s">
        <v>9</v>
      </c>
      <c r="C34" s="33">
        <f>(F12*E32+C32)/(C30+C31)</f>
        <v>-42.038527931718036</v>
      </c>
      <c r="D34" s="33"/>
      <c r="E34" s="33"/>
      <c r="F34" s="33"/>
      <c r="G34" s="33"/>
      <c r="H34" s="33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2:58" ht="12.75">
      <c r="B35" s="35"/>
      <c r="C35" s="35"/>
      <c r="D35" s="35"/>
      <c r="E35" s="35"/>
      <c r="F35" s="35"/>
      <c r="G35" s="35"/>
      <c r="H35" s="3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</row>
    <row r="36" spans="2:58" ht="12.75">
      <c r="B36" s="35"/>
      <c r="C36" s="35"/>
      <c r="D36" s="35"/>
      <c r="E36" s="35"/>
      <c r="F36" s="35"/>
      <c r="G36" s="35"/>
      <c r="H36" s="35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2:58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  <row r="38" spans="2:58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</row>
    <row r="39" spans="2:58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</row>
    <row r="40" spans="2:58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</row>
    <row r="41" spans="2:58" ht="12.7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</row>
    <row r="42" spans="2:58" ht="12.7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</row>
    <row r="43" spans="2:58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</row>
    <row r="44" spans="2:58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</row>
    <row r="45" spans="2:58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2:58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2:58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2:58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9:58" ht="12.75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</row>
    <row r="50" spans="9:58" ht="12.75"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9:58" ht="12.75"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9:58" ht="12.75"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9:58" ht="12.75"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9:58" ht="12.75"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9:58" ht="12.75"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6" spans="9:58" ht="12.75"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9:58" ht="12.75"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  <row r="58" spans="9:58" ht="12.75"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9:58" ht="12.75"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9:58" ht="12.75"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9:58" ht="12.75"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9:58" ht="12.75"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3" spans="9:58" ht="12.75"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</row>
    <row r="64" spans="9:58" ht="12.75"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</row>
    <row r="65" spans="9:58" ht="12.75"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</row>
    <row r="66" spans="9:58" ht="12.75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9:58" ht="12.75"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</sheetData>
  <sheetProtection password="DEF5" sheet="1" objects="1" scenarios="1"/>
  <mergeCells count="2">
    <mergeCell ref="B4:K4"/>
    <mergeCell ref="B5:H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43"/>
  <sheetViews>
    <sheetView workbookViewId="0" topLeftCell="A1">
      <selection activeCell="I17" sqref="I17"/>
    </sheetView>
  </sheetViews>
  <sheetFormatPr defaultColWidth="9.140625" defaultRowHeight="12.75"/>
  <cols>
    <col min="1" max="2" width="0.71875" style="0" customWidth="1"/>
    <col min="3" max="3" width="3.57421875" style="0" customWidth="1"/>
    <col min="4" max="4" width="6.28125" style="0" customWidth="1"/>
    <col min="5" max="5" width="3.7109375" style="0" customWidth="1"/>
    <col min="6" max="6" width="8.28125" style="0" customWidth="1"/>
    <col min="7" max="8" width="4.7109375" style="0" customWidth="1"/>
    <col min="9" max="9" width="6.28125" style="0" customWidth="1"/>
    <col min="10" max="10" width="4.8515625" style="0" customWidth="1"/>
    <col min="11" max="11" width="7.7109375" style="0" customWidth="1"/>
    <col min="12" max="12" width="3.140625" style="0" customWidth="1"/>
  </cols>
  <sheetData>
    <row r="1" spans="13:23" ht="3" customHeight="1" thickBot="1"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2:23" ht="15" customHeight="1" thickTop="1">
      <c r="B2" s="155" t="s">
        <v>45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2.25" customHeight="1" thickBot="1">
      <c r="B3" s="104"/>
      <c r="C3" s="107"/>
      <c r="D3" s="107"/>
      <c r="E3" s="107"/>
      <c r="F3" s="107"/>
      <c r="G3" s="107"/>
      <c r="H3" s="107"/>
      <c r="I3" s="107"/>
      <c r="J3" s="107"/>
      <c r="K3" s="107"/>
      <c r="L3" s="108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ht="15" customHeight="1" thickBot="1">
      <c r="B4" s="109"/>
      <c r="C4" s="2"/>
      <c r="D4" s="162" t="s">
        <v>46</v>
      </c>
      <c r="E4" s="163"/>
      <c r="F4" s="163"/>
      <c r="G4" s="158">
        <v>24.9</v>
      </c>
      <c r="H4" s="159"/>
      <c r="I4" s="96" t="s">
        <v>12</v>
      </c>
      <c r="J4" s="97"/>
      <c r="K4" s="97"/>
      <c r="L4" s="98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2:23" ht="12.75">
      <c r="B5" s="109"/>
      <c r="C5" s="86" t="s">
        <v>58</v>
      </c>
      <c r="D5" s="112">
        <v>240</v>
      </c>
      <c r="E5" s="89" t="s">
        <v>53</v>
      </c>
      <c r="F5" s="90">
        <f>1000000/(3.14159265*G4*D5*2)</f>
        <v>26.632353292127913</v>
      </c>
      <c r="G5" s="143" t="s">
        <v>11</v>
      </c>
      <c r="H5" s="91" t="s">
        <v>55</v>
      </c>
      <c r="I5" s="112">
        <v>156.451</v>
      </c>
      <c r="J5" s="89" t="s">
        <v>50</v>
      </c>
      <c r="K5" s="90">
        <f>1000000/(3.14159265*2*G4*I5)</f>
        <v>40.85473912030411</v>
      </c>
      <c r="L5" s="99" t="s">
        <v>24</v>
      </c>
      <c r="M5" s="9"/>
      <c r="N5" s="87"/>
      <c r="O5" s="9"/>
      <c r="P5" s="9"/>
      <c r="Q5" s="9"/>
      <c r="R5" s="9"/>
      <c r="S5" s="9"/>
      <c r="T5" s="9"/>
      <c r="U5" s="9"/>
      <c r="V5" s="9"/>
      <c r="W5" s="9"/>
    </row>
    <row r="6" spans="2:23" ht="12.75">
      <c r="B6" s="109"/>
      <c r="C6" s="86" t="s">
        <v>59</v>
      </c>
      <c r="D6" s="112">
        <v>1</v>
      </c>
      <c r="E6" s="89" t="s">
        <v>54</v>
      </c>
      <c r="F6" s="90">
        <f>2*3.14159265*D6*G4</f>
        <v>156.45131397</v>
      </c>
      <c r="G6" s="143" t="s">
        <v>11</v>
      </c>
      <c r="H6" s="91" t="s">
        <v>56</v>
      </c>
      <c r="I6" s="112">
        <v>26.632</v>
      </c>
      <c r="J6" s="89" t="s">
        <v>50</v>
      </c>
      <c r="K6" s="90">
        <f>I6/(G4*2*3.14159265)</f>
        <v>0.17022547989022813</v>
      </c>
      <c r="L6" s="99" t="s">
        <v>47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ht="6" customHeight="1">
      <c r="B7" s="110"/>
      <c r="C7" s="101"/>
      <c r="D7" s="102"/>
      <c r="E7" s="102"/>
      <c r="F7" s="102"/>
      <c r="G7" s="144"/>
      <c r="H7" s="102"/>
      <c r="I7" s="102"/>
      <c r="J7" s="102"/>
      <c r="K7" s="102"/>
      <c r="L7" s="103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2:23" ht="2.25" customHeight="1" thickBot="1">
      <c r="B8" s="111"/>
      <c r="C8" s="88"/>
      <c r="D8" s="93"/>
      <c r="E8" s="93"/>
      <c r="F8" s="93"/>
      <c r="G8" s="93"/>
      <c r="H8" s="93"/>
      <c r="I8" s="93"/>
      <c r="J8" s="93"/>
      <c r="K8" s="93"/>
      <c r="L8" s="42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2:23" ht="15" thickBot="1">
      <c r="B9" s="111"/>
      <c r="C9" s="88"/>
      <c r="D9" s="164" t="s">
        <v>46</v>
      </c>
      <c r="E9" s="165"/>
      <c r="F9" s="165"/>
      <c r="G9" s="160">
        <v>0.05</v>
      </c>
      <c r="H9" s="161"/>
      <c r="I9" s="92" t="s">
        <v>27</v>
      </c>
      <c r="J9" s="93"/>
      <c r="K9" s="93"/>
      <c r="L9" s="42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2:23" ht="12.75">
      <c r="B10" s="111"/>
      <c r="C10" s="88" t="s">
        <v>60</v>
      </c>
      <c r="D10" s="106">
        <v>6</v>
      </c>
      <c r="E10" s="93" t="s">
        <v>51</v>
      </c>
      <c r="F10" s="94">
        <f>1000/(3.14159265*G9*D10*2)</f>
        <v>530.516477579188</v>
      </c>
      <c r="G10" s="145" t="s">
        <v>11</v>
      </c>
      <c r="H10" s="95" t="s">
        <v>57</v>
      </c>
      <c r="I10" s="106">
        <v>200</v>
      </c>
      <c r="J10" s="93" t="s">
        <v>50</v>
      </c>
      <c r="K10" s="94">
        <f>1000/(3.14159265*2*G9*I10)</f>
        <v>15.915494327375638</v>
      </c>
      <c r="L10" s="42" t="s">
        <v>48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2:23" ht="12.75">
      <c r="B11" s="111"/>
      <c r="C11" s="88" t="s">
        <v>61</v>
      </c>
      <c r="D11" s="106">
        <v>25</v>
      </c>
      <c r="E11" s="93" t="s">
        <v>49</v>
      </c>
      <c r="F11" s="94">
        <f>2*3.14159265*D11*G9</f>
        <v>7.853981625</v>
      </c>
      <c r="G11" s="145" t="s">
        <v>11</v>
      </c>
      <c r="H11" s="95" t="s">
        <v>62</v>
      </c>
      <c r="I11" s="106">
        <v>600</v>
      </c>
      <c r="J11" s="93" t="s">
        <v>50</v>
      </c>
      <c r="K11" s="94">
        <f>I11/(G9*2*3.14159265)</f>
        <v>1909.8593192850765</v>
      </c>
      <c r="L11" s="42" t="s">
        <v>25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2:23" ht="12.75">
      <c r="B12" s="111"/>
      <c r="C12" s="88" t="s">
        <v>61</v>
      </c>
      <c r="D12" s="106">
        <v>1.5</v>
      </c>
      <c r="E12" s="93" t="s">
        <v>52</v>
      </c>
      <c r="F12" s="94">
        <f>2*3.14159265*D12*G9*1000</f>
        <v>471.23889750000006</v>
      </c>
      <c r="G12" s="145" t="s">
        <v>11</v>
      </c>
      <c r="H12" s="95" t="s">
        <v>62</v>
      </c>
      <c r="I12" s="106">
        <v>2700</v>
      </c>
      <c r="J12" s="93" t="s">
        <v>50</v>
      </c>
      <c r="K12" s="94">
        <f>I12/(G9*2*3.14159265*1000)</f>
        <v>8.594366936782844</v>
      </c>
      <c r="L12" s="42" t="s">
        <v>26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2:23" ht="3" customHeight="1" thickBot="1">
      <c r="B13" s="100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2:36" ht="13.5" thickTop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2:36" ht="12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2:36" ht="12.7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2:36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2:36" ht="12.75">
      <c r="B18" s="9"/>
      <c r="C18" s="9"/>
      <c r="D18" s="9"/>
      <c r="E18" s="10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2:36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2:36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2:36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2:36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2:36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2:36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2:36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2:36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2:36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2:36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2:36" ht="12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2:36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2:36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2:36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2:36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2:36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2:36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2:36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2:36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2:36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3:19" ht="12.7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3:19" ht="12.7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3:19" ht="12.7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3:19" ht="12.7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3:19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</sheetData>
  <sheetProtection password="DEF5" sheet="1" objects="1" scenarios="1"/>
  <mergeCells count="5">
    <mergeCell ref="B2:L2"/>
    <mergeCell ref="G4:H4"/>
    <mergeCell ref="G9:H9"/>
    <mergeCell ref="D4:F4"/>
    <mergeCell ref="D9:F9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4"/>
  <sheetViews>
    <sheetView showGridLines="0" showRowColHeaders="0" tabSelected="1" showOutlineSymbols="0" workbookViewId="0" topLeftCell="B2">
      <selection activeCell="E8" sqref="E8:F8"/>
    </sheetView>
  </sheetViews>
  <sheetFormatPr defaultColWidth="9.140625" defaultRowHeight="12.75"/>
  <cols>
    <col min="1" max="1" width="0.42578125" style="0" customWidth="1"/>
    <col min="2" max="2" width="1.28515625" style="0" customWidth="1"/>
    <col min="3" max="3" width="2.7109375" style="0" customWidth="1"/>
    <col min="4" max="4" width="2.140625" style="0" customWidth="1"/>
    <col min="5" max="6" width="2.7109375" style="0" customWidth="1"/>
    <col min="7" max="7" width="1.421875" style="0" customWidth="1"/>
    <col min="8" max="8" width="2.7109375" style="0" customWidth="1"/>
    <col min="9" max="9" width="4.140625" style="0" customWidth="1"/>
    <col min="10" max="10" width="1.28515625" style="0" customWidth="1"/>
    <col min="11" max="11" width="2.7109375" style="0" customWidth="1"/>
    <col min="12" max="12" width="3.421875" style="0" customWidth="1"/>
    <col min="13" max="13" width="0.85546875" style="0" customWidth="1"/>
    <col min="14" max="14" width="0.42578125" style="0" customWidth="1"/>
    <col min="15" max="15" width="2.7109375" style="0" customWidth="1"/>
    <col min="16" max="16" width="2.28125" style="0" customWidth="1"/>
    <col min="17" max="18" width="2.7109375" style="0" customWidth="1"/>
    <col min="19" max="19" width="1.7109375" style="0" customWidth="1"/>
    <col min="20" max="20" width="2.7109375" style="0" customWidth="1"/>
    <col min="21" max="21" width="4.140625" style="0" customWidth="1"/>
    <col min="22" max="22" width="1.28515625" style="0" customWidth="1"/>
    <col min="23" max="23" width="2.7109375" style="0" customWidth="1"/>
    <col min="24" max="24" width="3.421875" style="0" customWidth="1"/>
    <col min="25" max="25" width="1.28515625" style="0" customWidth="1"/>
    <col min="26" max="16384" width="2.7109375" style="0" customWidth="1"/>
  </cols>
  <sheetData>
    <row r="1" ht="2.25" customHeight="1" thickBot="1"/>
    <row r="2" spans="2:25" ht="4.5" customHeight="1" thickTop="1">
      <c r="B2" s="124"/>
      <c r="C2" s="125"/>
      <c r="D2" s="125"/>
      <c r="E2" s="125"/>
      <c r="F2" s="125"/>
      <c r="G2" s="125"/>
      <c r="H2" s="125"/>
      <c r="I2" s="125"/>
      <c r="J2" s="126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7"/>
    </row>
    <row r="3" spans="2:25" ht="15">
      <c r="B3" s="128"/>
      <c r="C3" s="166" t="s">
        <v>76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29"/>
    </row>
    <row r="4" spans="2:25" ht="2.25" customHeight="1" thickBot="1">
      <c r="B4" s="128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29"/>
    </row>
    <row r="5" spans="2:25" ht="3" customHeight="1" thickTop="1"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4"/>
    </row>
    <row r="6" spans="2:25" ht="12.75">
      <c r="B6" s="167" t="s">
        <v>74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47"/>
      <c r="N6" s="148" t="s">
        <v>75</v>
      </c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9"/>
    </row>
    <row r="7" spans="2:25" ht="2.25" customHeight="1">
      <c r="B7" s="109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7"/>
    </row>
    <row r="8" spans="2:25" ht="12.75">
      <c r="B8" s="109"/>
      <c r="C8" s="135" t="s">
        <v>65</v>
      </c>
      <c r="D8" s="135"/>
      <c r="E8" s="170">
        <v>50</v>
      </c>
      <c r="F8" s="171"/>
      <c r="G8" s="138"/>
      <c r="H8" s="138"/>
      <c r="I8" s="135" t="s">
        <v>66</v>
      </c>
      <c r="J8" s="135"/>
      <c r="K8" s="172">
        <f>(E8*E8+E9*E9)/E8</f>
        <v>100</v>
      </c>
      <c r="L8" s="172"/>
      <c r="M8" s="136"/>
      <c r="N8" s="135"/>
      <c r="O8" s="135" t="s">
        <v>66</v>
      </c>
      <c r="P8" s="135"/>
      <c r="Q8" s="173">
        <v>50</v>
      </c>
      <c r="R8" s="174"/>
      <c r="S8" s="138"/>
      <c r="T8" s="138"/>
      <c r="U8" s="135" t="s">
        <v>65</v>
      </c>
      <c r="V8" s="135"/>
      <c r="W8" s="175">
        <f>Q8/(1+(Q8/Q9)*(Q8/Q9))</f>
        <v>6.896551724137931</v>
      </c>
      <c r="X8" s="175"/>
      <c r="Y8" s="137"/>
    </row>
    <row r="9" spans="2:25" ht="12.75">
      <c r="B9" s="109"/>
      <c r="C9" s="135" t="s">
        <v>67</v>
      </c>
      <c r="D9" s="135"/>
      <c r="E9" s="170">
        <v>50</v>
      </c>
      <c r="F9" s="171"/>
      <c r="G9" s="138"/>
      <c r="H9" s="138"/>
      <c r="I9" s="135" t="s">
        <v>68</v>
      </c>
      <c r="J9" s="135"/>
      <c r="K9" s="172">
        <f>(E8*E8+E9*E9)/E9</f>
        <v>100</v>
      </c>
      <c r="L9" s="172"/>
      <c r="M9" s="136"/>
      <c r="N9" s="135"/>
      <c r="O9" s="135" t="s">
        <v>68</v>
      </c>
      <c r="P9" s="135"/>
      <c r="Q9" s="173">
        <v>20</v>
      </c>
      <c r="R9" s="174"/>
      <c r="S9" s="138"/>
      <c r="T9" s="138"/>
      <c r="U9" s="135" t="s">
        <v>67</v>
      </c>
      <c r="V9" s="135"/>
      <c r="W9" s="175">
        <f>(W8*Q8)/Q9</f>
        <v>17.241379310344826</v>
      </c>
      <c r="X9" s="175"/>
      <c r="Y9" s="137"/>
    </row>
    <row r="10" spans="2:25" ht="12.75">
      <c r="B10" s="109"/>
      <c r="C10" s="135"/>
      <c r="D10" s="135"/>
      <c r="E10" s="135"/>
      <c r="F10" s="135" t="s">
        <v>69</v>
      </c>
      <c r="G10" s="135"/>
      <c r="H10" s="176">
        <f>SQRT(E8*E8+E9*E9)</f>
        <v>70.71067811865476</v>
      </c>
      <c r="I10" s="176"/>
      <c r="J10" s="138"/>
      <c r="K10" s="135"/>
      <c r="L10" s="135"/>
      <c r="M10" s="136"/>
      <c r="N10" s="135"/>
      <c r="O10" s="135"/>
      <c r="P10" s="135"/>
      <c r="Q10" s="138"/>
      <c r="R10" s="138" t="s">
        <v>70</v>
      </c>
      <c r="S10" s="135"/>
      <c r="T10" s="176">
        <f>ABS(Q8*Q9)/SQRT(Q8*Q8+Q9*Q9)</f>
        <v>18.569533817705185</v>
      </c>
      <c r="U10" s="176"/>
      <c r="V10" s="138"/>
      <c r="W10" s="135"/>
      <c r="X10" s="135"/>
      <c r="Y10" s="137"/>
    </row>
    <row r="11" spans="2:25" ht="12.75">
      <c r="B11" s="109"/>
      <c r="C11" s="135" t="s">
        <v>71</v>
      </c>
      <c r="D11" s="135"/>
      <c r="E11" s="135"/>
      <c r="F11" s="135"/>
      <c r="G11" s="135"/>
      <c r="H11" s="176">
        <f>ATAN(E9/E8)</f>
        <v>0.7853981633974483</v>
      </c>
      <c r="I11" s="176"/>
      <c r="J11" s="138"/>
      <c r="K11" s="135" t="s">
        <v>22</v>
      </c>
      <c r="L11" s="135"/>
      <c r="M11" s="136"/>
      <c r="N11" s="135"/>
      <c r="O11" s="135" t="s">
        <v>71</v>
      </c>
      <c r="P11" s="135"/>
      <c r="Q11" s="135"/>
      <c r="R11" s="135"/>
      <c r="S11" s="135"/>
      <c r="T11" s="176">
        <f>ATAN(W9/W8)</f>
        <v>1.1902899496825317</v>
      </c>
      <c r="U11" s="177"/>
      <c r="V11" s="138"/>
      <c r="W11" s="135" t="s">
        <v>22</v>
      </c>
      <c r="X11" s="135"/>
      <c r="Y11" s="137"/>
    </row>
    <row r="12" spans="2:25" ht="12.75">
      <c r="B12" s="109"/>
      <c r="C12" s="135"/>
      <c r="D12" s="135"/>
      <c r="E12" s="135"/>
      <c r="F12" s="135"/>
      <c r="G12" s="135"/>
      <c r="H12" s="176">
        <f>(180/3.14159265)*H11</f>
        <v>45.000000051419995</v>
      </c>
      <c r="I12" s="176"/>
      <c r="J12" s="138" t="s">
        <v>72</v>
      </c>
      <c r="K12" s="135"/>
      <c r="L12" s="135"/>
      <c r="M12" s="136"/>
      <c r="N12" s="135"/>
      <c r="O12" s="135"/>
      <c r="P12" s="135"/>
      <c r="Q12" s="135"/>
      <c r="R12" s="135"/>
      <c r="S12" s="135"/>
      <c r="T12" s="176">
        <f>(180/3.14159265)*T11</f>
        <v>68.19859059157643</v>
      </c>
      <c r="U12" s="177"/>
      <c r="V12" s="138" t="s">
        <v>72</v>
      </c>
      <c r="W12" s="135"/>
      <c r="X12" s="135"/>
      <c r="Y12" s="137"/>
    </row>
    <row r="13" spans="2:25" ht="12.75">
      <c r="B13" s="109"/>
      <c r="C13" s="135" t="s">
        <v>73</v>
      </c>
      <c r="D13" s="135"/>
      <c r="E13" s="135"/>
      <c r="F13" s="135"/>
      <c r="G13" s="135"/>
      <c r="H13" s="176">
        <f>COS(H11)</f>
        <v>0.7071067811865476</v>
      </c>
      <c r="I13" s="176"/>
      <c r="J13" s="138"/>
      <c r="K13" s="135"/>
      <c r="L13" s="135"/>
      <c r="M13" s="136"/>
      <c r="N13" s="135"/>
      <c r="O13" s="135" t="s">
        <v>73</v>
      </c>
      <c r="P13" s="135"/>
      <c r="Q13" s="135"/>
      <c r="R13" s="135"/>
      <c r="S13" s="135"/>
      <c r="T13" s="176">
        <f>COS(T11)</f>
        <v>0.3713906763541038</v>
      </c>
      <c r="U13" s="178"/>
      <c r="V13" s="138"/>
      <c r="W13" s="135"/>
      <c r="X13" s="135"/>
      <c r="Y13" s="137"/>
    </row>
    <row r="14" spans="2:25" ht="2.25" customHeight="1" thickBot="1"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2"/>
    </row>
    <row r="15" ht="13.5" thickTop="1"/>
  </sheetData>
  <sheetProtection password="DEF5" sheet="1" objects="1" scenarios="1"/>
  <mergeCells count="19">
    <mergeCell ref="H12:I12"/>
    <mergeCell ref="T12:U12"/>
    <mergeCell ref="H13:I13"/>
    <mergeCell ref="T13:U13"/>
    <mergeCell ref="H10:I10"/>
    <mergeCell ref="T10:U10"/>
    <mergeCell ref="H11:I11"/>
    <mergeCell ref="T11:U11"/>
    <mergeCell ref="E9:F9"/>
    <mergeCell ref="K9:L9"/>
    <mergeCell ref="Q9:R9"/>
    <mergeCell ref="W9:X9"/>
    <mergeCell ref="C3:X3"/>
    <mergeCell ref="B6:M6"/>
    <mergeCell ref="N6:Y6"/>
    <mergeCell ref="E8:F8"/>
    <mergeCell ref="K8:L8"/>
    <mergeCell ref="Q8:R8"/>
    <mergeCell ref="W8:X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49"/>
  <sheetViews>
    <sheetView workbookViewId="0" topLeftCell="A1">
      <selection activeCell="G6" sqref="G6"/>
    </sheetView>
  </sheetViews>
  <sheetFormatPr defaultColWidth="9.140625" defaultRowHeight="12.75"/>
  <cols>
    <col min="1" max="1" width="0.9921875" style="0" customWidth="1"/>
    <col min="2" max="3" width="9.7109375" style="0" customWidth="1"/>
    <col min="4" max="4" width="9.8515625" style="0" customWidth="1"/>
    <col min="5" max="5" width="7.28125" style="0" hidden="1" customWidth="1"/>
    <col min="6" max="6" width="6.7109375" style="0" customWidth="1"/>
    <col min="7" max="7" width="6.140625" style="0" customWidth="1"/>
    <col min="8" max="8" width="6.28125" style="0" customWidth="1"/>
    <col min="9" max="9" width="4.00390625" style="0" customWidth="1"/>
  </cols>
  <sheetData>
    <row r="1" spans="1:55" ht="3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 ht="14.25" thickTop="1">
      <c r="A2" s="9"/>
      <c r="B2" s="179" t="s">
        <v>63</v>
      </c>
      <c r="C2" s="180"/>
      <c r="D2" s="180"/>
      <c r="E2" s="180"/>
      <c r="F2" s="180"/>
      <c r="G2" s="180"/>
      <c r="H2" s="180"/>
      <c r="I2" s="18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ht="12" customHeight="1">
      <c r="A3" s="12"/>
      <c r="B3" s="182" t="s">
        <v>64</v>
      </c>
      <c r="C3" s="183"/>
      <c r="D3" s="183"/>
      <c r="E3" s="183"/>
      <c r="F3" s="183"/>
      <c r="G3" s="183"/>
      <c r="H3" s="183"/>
      <c r="I3" s="184"/>
      <c r="J3" s="2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ht="12.75">
      <c r="A4" s="12"/>
      <c r="B4" s="114" t="s">
        <v>34</v>
      </c>
      <c r="C4" s="115"/>
      <c r="D4" s="115"/>
      <c r="E4" s="116"/>
      <c r="F4" s="116"/>
      <c r="G4" s="117"/>
      <c r="H4" s="37">
        <f>276*LOG(2*G6/G5)</f>
        <v>276</v>
      </c>
      <c r="I4" s="118" t="s">
        <v>11</v>
      </c>
      <c r="J4" s="11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ht="12.75">
      <c r="A5" s="12"/>
      <c r="B5" s="3" t="s">
        <v>0</v>
      </c>
      <c r="C5" s="4"/>
      <c r="D5" s="4"/>
      <c r="E5" s="4"/>
      <c r="F5" s="4"/>
      <c r="G5" s="123">
        <v>6</v>
      </c>
      <c r="H5" s="27">
        <f>G6/G5</f>
        <v>5</v>
      </c>
      <c r="I5" s="5" t="s">
        <v>19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12.75">
      <c r="A6" s="12"/>
      <c r="B6" s="3" t="s">
        <v>2</v>
      </c>
      <c r="C6" s="4"/>
      <c r="D6" s="4"/>
      <c r="E6" s="4"/>
      <c r="F6" s="4"/>
      <c r="G6" s="123">
        <v>30</v>
      </c>
      <c r="H6" s="4"/>
      <c r="I6" s="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ht="12.75">
      <c r="A7" s="12"/>
      <c r="B7" s="119" t="s">
        <v>3</v>
      </c>
      <c r="C7" s="120"/>
      <c r="D7" s="120"/>
      <c r="E7" s="120"/>
      <c r="F7" s="120"/>
      <c r="G7" s="120"/>
      <c r="H7" s="28">
        <f>G6-G5</f>
        <v>24</v>
      </c>
      <c r="I7" s="12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ht="12.75">
      <c r="A8" s="12"/>
      <c r="B8" s="114" t="s">
        <v>35</v>
      </c>
      <c r="C8" s="115"/>
      <c r="D8" s="115"/>
      <c r="E8" s="117"/>
      <c r="F8" s="117"/>
      <c r="G8" s="117"/>
      <c r="H8" s="37">
        <f>138*LOG(G10/G9)</f>
        <v>75.00599883319032</v>
      </c>
      <c r="I8" s="118" t="s">
        <v>11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ht="12.75">
      <c r="A9" s="12"/>
      <c r="B9" s="3" t="s">
        <v>36</v>
      </c>
      <c r="C9" s="4"/>
      <c r="D9" s="4"/>
      <c r="E9" s="4"/>
      <c r="F9" s="4"/>
      <c r="G9" s="123">
        <v>2.5</v>
      </c>
      <c r="H9" s="27">
        <f>G10/G9</f>
        <v>3.4956000000000005</v>
      </c>
      <c r="I9" s="5" t="s">
        <v>19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55" ht="12.75">
      <c r="A10" s="12"/>
      <c r="B10" s="3" t="s">
        <v>1</v>
      </c>
      <c r="C10" s="4"/>
      <c r="D10" s="4"/>
      <c r="E10" s="4"/>
      <c r="F10" s="4"/>
      <c r="G10" s="123">
        <v>8.739</v>
      </c>
      <c r="H10" s="4"/>
      <c r="I10" s="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1:55" ht="13.5" thickBot="1">
      <c r="A11" s="12"/>
      <c r="B11" s="6" t="s">
        <v>33</v>
      </c>
      <c r="C11" s="7"/>
      <c r="D11" s="7"/>
      <c r="E11" s="7"/>
      <c r="F11" s="7"/>
      <c r="G11" s="122"/>
      <c r="H11" s="36">
        <f>(G10-G9)/2</f>
        <v>3.1195000000000004</v>
      </c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8" ht="15.75" thickTop="1">
      <c r="A12" s="12"/>
      <c r="B12" s="15"/>
      <c r="C12" s="15"/>
      <c r="D12" s="15"/>
      <c r="E12" s="15"/>
      <c r="F12" s="15"/>
      <c r="G12" s="15"/>
      <c r="H12" s="15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1:58" ht="13.5">
      <c r="A13" s="12"/>
      <c r="B13" s="13"/>
      <c r="C13" s="13"/>
      <c r="D13" s="13"/>
      <c r="E13" s="13"/>
      <c r="F13" s="13"/>
      <c r="G13" s="14"/>
      <c r="H13" s="13"/>
      <c r="I13" s="13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58" ht="13.5">
      <c r="A14" s="12"/>
      <c r="B14" s="13"/>
      <c r="C14" s="13"/>
      <c r="D14" s="13"/>
      <c r="E14" s="13"/>
      <c r="F14" s="13"/>
      <c r="G14" s="14"/>
      <c r="H14" s="13"/>
      <c r="I14" s="1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8" ht="13.5">
      <c r="A15" s="12"/>
      <c r="B15" s="13"/>
      <c r="C15" s="13"/>
      <c r="D15" s="13"/>
      <c r="E15" s="13"/>
      <c r="F15" s="13"/>
      <c r="G15" s="14"/>
      <c r="H15" s="13"/>
      <c r="I15" s="20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</row>
    <row r="16" spans="1:58" ht="13.5">
      <c r="A16" s="12"/>
      <c r="B16" s="13"/>
      <c r="C16" s="13"/>
      <c r="D16" s="13"/>
      <c r="E16" s="13"/>
      <c r="F16" s="13"/>
      <c r="G16" s="14"/>
      <c r="H16" s="13"/>
      <c r="I16" s="1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1:58" ht="13.5">
      <c r="A17" s="12"/>
      <c r="B17" s="13"/>
      <c r="C17" s="13"/>
      <c r="D17" s="13"/>
      <c r="E17" s="13"/>
      <c r="F17" s="13"/>
      <c r="G17" s="14"/>
      <c r="H17" s="13"/>
      <c r="I17" s="1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1:58" ht="13.5">
      <c r="A18" s="12"/>
      <c r="B18" s="16"/>
      <c r="C18" s="16"/>
      <c r="D18" s="13"/>
      <c r="E18" s="13"/>
      <c r="F18" s="13"/>
      <c r="G18" s="14"/>
      <c r="H18" s="13"/>
      <c r="I18" s="1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spans="1:58" ht="13.5">
      <c r="A19" s="12"/>
      <c r="B19" s="16"/>
      <c r="C19" s="16"/>
      <c r="D19" s="13"/>
      <c r="E19" s="13"/>
      <c r="F19" s="13"/>
      <c r="G19" s="14"/>
      <c r="H19" s="13"/>
      <c r="I19" s="13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ht="13.5">
      <c r="A20" s="12"/>
      <c r="B20" s="13"/>
      <c r="C20" s="13"/>
      <c r="D20" s="13"/>
      <c r="E20" s="13"/>
      <c r="F20" s="13"/>
      <c r="G20" s="14"/>
      <c r="H20" s="17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8" ht="12.75">
      <c r="A21" s="12"/>
      <c r="B21" s="13"/>
      <c r="C21" s="13"/>
      <c r="D21" s="13"/>
      <c r="E21" s="13"/>
      <c r="F21" s="17"/>
      <c r="G21" s="18"/>
      <c r="H21" s="17"/>
      <c r="I21" s="1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</row>
    <row r="22" spans="1:58" ht="13.5">
      <c r="A22" s="12"/>
      <c r="B22" s="13"/>
      <c r="C22" s="13"/>
      <c r="D22" s="13"/>
      <c r="E22" s="13"/>
      <c r="F22" s="13"/>
      <c r="G22" s="14"/>
      <c r="H22" s="19"/>
      <c r="I22" s="1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</row>
    <row r="23" spans="1:58" ht="13.5">
      <c r="A23" s="12"/>
      <c r="B23" s="13"/>
      <c r="C23" s="13"/>
      <c r="D23" s="13"/>
      <c r="E23" s="13"/>
      <c r="F23" s="13"/>
      <c r="G23" s="14"/>
      <c r="H23" s="19"/>
      <c r="I23" s="1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ht="13.5">
      <c r="A24" s="12"/>
      <c r="B24" s="13"/>
      <c r="C24" s="13"/>
      <c r="D24" s="13"/>
      <c r="E24" s="13"/>
      <c r="F24" s="13"/>
      <c r="G24" s="14"/>
      <c r="H24" s="19"/>
      <c r="I24" s="1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1:58" ht="13.5">
      <c r="A25" s="12"/>
      <c r="B25" s="20"/>
      <c r="C25" s="20"/>
      <c r="D25" s="20"/>
      <c r="E25" s="20"/>
      <c r="F25" s="13"/>
      <c r="G25" s="17"/>
      <c r="H25" s="21"/>
      <c r="I25" s="1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1:58" ht="14.25" customHeight="1">
      <c r="A26" s="12"/>
      <c r="B26" s="20"/>
      <c r="C26" s="20"/>
      <c r="D26" s="20"/>
      <c r="E26" s="20"/>
      <c r="F26" s="13"/>
      <c r="G26" s="13"/>
      <c r="H26" s="21"/>
      <c r="I26" s="1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58" ht="14.25" customHeight="1">
      <c r="A27" s="12"/>
      <c r="B27" s="13"/>
      <c r="C27" s="13"/>
      <c r="D27" s="13"/>
      <c r="E27" s="13"/>
      <c r="F27" s="13"/>
      <c r="G27" s="13"/>
      <c r="H27" s="17"/>
      <c r="I27" s="1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ht="12.75">
      <c r="A28" s="12"/>
      <c r="B28" s="13"/>
      <c r="C28" s="13"/>
      <c r="D28" s="13"/>
      <c r="E28" s="13"/>
      <c r="F28" s="13"/>
      <c r="G28" s="13"/>
      <c r="H28" s="22"/>
      <c r="I28" s="1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1:58" ht="12.75">
      <c r="A29" s="12"/>
      <c r="B29" s="18"/>
      <c r="C29" s="17"/>
      <c r="D29" s="13"/>
      <c r="E29" s="13"/>
      <c r="F29" s="17"/>
      <c r="G29" s="13"/>
      <c r="H29" s="17"/>
      <c r="I29" s="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5" ht="13.5">
      <c r="A30" s="12"/>
      <c r="B30" s="18"/>
      <c r="C30" s="17"/>
      <c r="D30" s="13"/>
      <c r="E30" s="13"/>
      <c r="F30" s="13"/>
      <c r="G30" s="13"/>
      <c r="H30" s="20"/>
      <c r="I30" s="1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3.5" customHeight="1">
      <c r="A31" s="12"/>
      <c r="B31" s="20"/>
      <c r="C31" s="17"/>
      <c r="D31" s="13"/>
      <c r="E31" s="13"/>
      <c r="F31" s="13"/>
      <c r="G31" s="13"/>
      <c r="H31" s="21"/>
      <c r="I31" s="1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2"/>
      <c r="H49" s="12"/>
      <c r="I49" s="12"/>
    </row>
  </sheetData>
  <sheetProtection password="DEF5" sheet="1" objects="1" scenarios="1"/>
  <mergeCells count="2">
    <mergeCell ref="B2:I2"/>
    <mergeCell ref="B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Impedances: Series into Parallel and vice versa</dc:title>
  <dc:subject>Пересчет параллельных и последовательных импедансов</dc:subject>
  <dc:creator>Yuri Baltin</dc:creator>
  <cp:keywords>Impedance, parallel, series, YL2DX</cp:keywords>
  <dc:description/>
  <cp:lastModifiedBy>Yuri Baltin</cp:lastModifiedBy>
  <dcterms:created xsi:type="dcterms:W3CDTF">2000-12-17T06:32:34Z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